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10" windowHeight="8265" tabRatio="548" activeTab="0"/>
  </bookViews>
  <sheets>
    <sheet name="template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<sst xmlns="http://schemas.openxmlformats.org/spreadsheetml/2006/main" count="300" uniqueCount="106">
  <si>
    <t>Irms</t>
  </si>
  <si>
    <t>Pre</t>
  </si>
  <si>
    <t xml:space="preserve"> </t>
  </si>
  <si>
    <t>RTM</t>
  </si>
  <si>
    <t>R2</t>
  </si>
  <si>
    <t>Le</t>
  </si>
  <si>
    <t>L2</t>
  </si>
  <si>
    <t>PR2</t>
  </si>
  <si>
    <t xml:space="preserve">  </t>
  </si>
  <si>
    <t>K/W</t>
  </si>
  <si>
    <t>RTV</t>
  </si>
  <si>
    <t>Pcon</t>
  </si>
  <si>
    <t>ALPHA</t>
  </si>
  <si>
    <t>INPUT PARAMETERS:</t>
  </si>
  <si>
    <t>f</t>
  </si>
  <si>
    <r>
      <t xml:space="preserve">DT </t>
    </r>
    <r>
      <rPr>
        <sz val="10"/>
        <rFont val="Arial"/>
        <family val="0"/>
      </rPr>
      <t>on</t>
    </r>
  </si>
  <si>
    <r>
      <t>D</t>
    </r>
    <r>
      <rPr>
        <sz val="10"/>
        <rFont val="Arial"/>
        <family val="0"/>
      </rPr>
      <t>T off</t>
    </r>
  </si>
  <si>
    <t>X rms</t>
  </si>
  <si>
    <t>Test</t>
  </si>
  <si>
    <t>Re(TA)</t>
  </si>
  <si>
    <t>State Variables</t>
  </si>
  <si>
    <t>Ohm</t>
  </si>
  <si>
    <t>mH</t>
  </si>
  <si>
    <t>e</t>
  </si>
  <si>
    <t>Pmag</t>
  </si>
  <si>
    <t>g</t>
  </si>
  <si>
    <t>Ton</t>
  </si>
  <si>
    <t>Toff</t>
  </si>
  <si>
    <t>s</t>
  </si>
  <si>
    <t>min</t>
  </si>
  <si>
    <t>Hz</t>
  </si>
  <si>
    <t>A</t>
  </si>
  <si>
    <t>K</t>
  </si>
  <si>
    <t>xxxxxx</t>
  </si>
  <si>
    <t>mm</t>
  </si>
  <si>
    <t>unit</t>
  </si>
  <si>
    <t>value</t>
  </si>
  <si>
    <t>symbol</t>
  </si>
  <si>
    <t>d</t>
  </si>
  <si>
    <t>W</t>
  </si>
  <si>
    <t>CTV</t>
  </si>
  <si>
    <t>CTM</t>
  </si>
  <si>
    <t>RTC(v)</t>
  </si>
  <si>
    <t>xxxxxxx</t>
  </si>
  <si>
    <t>rv</t>
  </si>
  <si>
    <t>RESULTS</t>
  </si>
  <si>
    <t>Values determined in power test</t>
  </si>
  <si>
    <t>%</t>
  </si>
  <si>
    <t>thermal resistance of magnet frame</t>
  </si>
  <si>
    <t>thermal resistance of coil</t>
  </si>
  <si>
    <t>convection parameter</t>
  </si>
  <si>
    <t>thermal capacity of voice coil</t>
  </si>
  <si>
    <t xml:space="preserve">thermal capacity of  magnet frame </t>
  </si>
  <si>
    <t>bypass factor</t>
  </si>
  <si>
    <t>thermal resistance due to convection cooling</t>
  </si>
  <si>
    <t>Thermal Parameters</t>
  </si>
  <si>
    <t>working variable</t>
  </si>
  <si>
    <t>Number of test</t>
  </si>
  <si>
    <t>frequency of test tone</t>
  </si>
  <si>
    <t>rms value of current</t>
  </si>
  <si>
    <t>maximal temperature during ON phase</t>
  </si>
  <si>
    <t>minimal temperature during OFF phase</t>
  </si>
  <si>
    <t xml:space="preserve">rms value of voice coil displacement </t>
  </si>
  <si>
    <t>time constant of magnet</t>
  </si>
  <si>
    <t>time constant of voice coil</t>
  </si>
  <si>
    <t>duration of ON phase</t>
  </si>
  <si>
    <t>duration of OFF phase</t>
  </si>
  <si>
    <t>voice coil resistance at ambient temperature</t>
  </si>
  <si>
    <t>resistance due to eddy currents</t>
  </si>
  <si>
    <t xml:space="preserve">voice coil inductance </t>
  </si>
  <si>
    <t xml:space="preserve">parainductance </t>
  </si>
  <si>
    <t>conductivity of the coil material (copper 0,00393)</t>
  </si>
  <si>
    <r>
      <t>K</t>
    </r>
    <r>
      <rPr>
        <vertAlign val="superscript"/>
        <sz val="10"/>
        <rFont val="Arial"/>
        <family val="2"/>
      </rPr>
      <t>-1</t>
    </r>
  </si>
  <si>
    <r>
      <t>Ks</t>
    </r>
    <r>
      <rPr>
        <vertAlign val="superscript"/>
        <sz val="12"/>
        <color indexed="8"/>
        <rFont val="Times"/>
        <family val="0"/>
      </rPr>
      <t>2</t>
    </r>
    <r>
      <rPr>
        <sz val="12"/>
        <color indexed="8"/>
        <rFont val="Times"/>
        <family val="0"/>
      </rPr>
      <t>/Wm</t>
    </r>
    <r>
      <rPr>
        <vertAlign val="superscript"/>
        <sz val="12"/>
        <color indexed="8"/>
        <rFont val="Times"/>
        <family val="0"/>
      </rPr>
      <t>2</t>
    </r>
  </si>
  <si>
    <t>Ws/K</t>
  </si>
  <si>
    <r>
      <t>t</t>
    </r>
    <r>
      <rPr>
        <sz val="10"/>
        <rFont val="Arial"/>
        <family val="0"/>
      </rPr>
      <t>m</t>
    </r>
  </si>
  <si>
    <r>
      <t>t</t>
    </r>
    <r>
      <rPr>
        <sz val="10"/>
        <rFont val="Arial"/>
        <family val="0"/>
      </rPr>
      <t>v</t>
    </r>
  </si>
  <si>
    <t>Ptv</t>
  </si>
  <si>
    <t>power transferred from coil to magnet</t>
  </si>
  <si>
    <t>Peg</t>
  </si>
  <si>
    <t>t start</t>
  </si>
  <si>
    <t>t s_off</t>
  </si>
  <si>
    <t>time at the beginning of OFF-phase</t>
  </si>
  <si>
    <r>
      <t xml:space="preserve">t </t>
    </r>
    <r>
      <rPr>
        <sz val="10"/>
        <rFont val="Symbol"/>
        <family val="1"/>
      </rPr>
      <t>t</t>
    </r>
    <r>
      <rPr>
        <sz val="10"/>
        <rFont val="Arial"/>
        <family val="0"/>
      </rPr>
      <t>v</t>
    </r>
  </si>
  <si>
    <r>
      <t>D</t>
    </r>
    <r>
      <rPr>
        <sz val="10"/>
        <rFont val="Arial"/>
        <family val="0"/>
      </rPr>
      <t xml:space="preserve">T </t>
    </r>
    <r>
      <rPr>
        <sz val="10"/>
        <rFont val="Symbol"/>
        <family val="1"/>
      </rPr>
      <t>t</t>
    </r>
    <r>
      <rPr>
        <sz val="10"/>
        <rFont val="Arial"/>
        <family val="0"/>
      </rPr>
      <t>v</t>
    </r>
  </si>
  <si>
    <t>temperature searched by cursor in ON-phase</t>
  </si>
  <si>
    <t>temperature searched by cursor in OFF-phase</t>
  </si>
  <si>
    <r>
      <t>D</t>
    </r>
    <r>
      <rPr>
        <sz val="10"/>
        <rFont val="Arial"/>
        <family val="0"/>
      </rPr>
      <t xml:space="preserve">T </t>
    </r>
    <r>
      <rPr>
        <sz val="10"/>
        <rFont val="Symbol"/>
        <family val="1"/>
      </rPr>
      <t>t</t>
    </r>
    <r>
      <rPr>
        <sz val="10"/>
        <rFont val="Arial"/>
        <family val="0"/>
      </rPr>
      <t>m</t>
    </r>
  </si>
  <si>
    <r>
      <t>time when temperature is decreased to</t>
    </r>
    <r>
      <rPr>
        <sz val="10"/>
        <rFont val="Symbol"/>
        <family val="1"/>
      </rPr>
      <t xml:space="preserve"> D</t>
    </r>
    <r>
      <rPr>
        <sz val="10"/>
        <rFont val="Arial"/>
        <family val="0"/>
      </rPr>
      <t xml:space="preserve">T </t>
    </r>
    <r>
      <rPr>
        <sz val="10"/>
        <rFont val="Symbol"/>
        <family val="1"/>
      </rPr>
      <t>t</t>
    </r>
    <r>
      <rPr>
        <sz val="10"/>
        <rFont val="Arial"/>
        <family val="0"/>
      </rPr>
      <t>v</t>
    </r>
  </si>
  <si>
    <t>starting time of the power test</t>
  </si>
  <si>
    <r>
      <t>t</t>
    </r>
    <r>
      <rPr>
        <sz val="10"/>
        <rFont val="Symbol"/>
        <family val="1"/>
      </rPr>
      <t xml:space="preserve"> t</t>
    </r>
    <r>
      <rPr>
        <sz val="10"/>
        <rFont val="Arial Narrow"/>
        <family val="2"/>
      </rPr>
      <t>m</t>
    </r>
  </si>
  <si>
    <r>
      <t xml:space="preserve">time when temperature is increased to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 </t>
    </r>
    <r>
      <rPr>
        <sz val="10"/>
        <rFont val="Symbol"/>
        <family val="1"/>
      </rPr>
      <t>t</t>
    </r>
    <r>
      <rPr>
        <sz val="10"/>
        <rFont val="Arial"/>
        <family val="2"/>
      </rPr>
      <t>m</t>
    </r>
  </si>
  <si>
    <t>total power transferred to magnet</t>
  </si>
  <si>
    <t>power dissipated in Re</t>
  </si>
  <si>
    <t>power dissipated in R2</t>
  </si>
  <si>
    <t>power transferred via convection cooling to ambience</t>
  </si>
  <si>
    <t>power transferred to magnet via eddy currents</t>
  </si>
  <si>
    <t>Pcoil</t>
  </si>
  <si>
    <t>total power transferred to coil</t>
  </si>
  <si>
    <t>distribution factor for eddy currents</t>
  </si>
  <si>
    <t>gramm</t>
  </si>
  <si>
    <t>equivalent mass of copper related to CTV</t>
  </si>
  <si>
    <t>m copper</t>
  </si>
  <si>
    <t>m steel</t>
  </si>
  <si>
    <t>equivalent mass of steel related to CTM</t>
  </si>
  <si>
    <t>INPUT REQUIRED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</si>
</sst>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sz val="12"/>
      <color indexed="8"/>
      <name val="Times"/>
      <family val="0"/>
    </font>
    <font>
      <vertAlign val="superscript"/>
      <sz val="12"/>
      <color indexed="8"/>
      <name val="Times"/>
      <family val="0"/>
    </font>
    <font>
      <sz val="10"/>
      <name val="Arial Narrow"/>
      <family val="2"/>
    </font>
    <font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ill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0">
      <selection activeCell="B21" sqref="B21:B23"/>
    </sheetView>
  </sheetViews>
  <sheetFormatPr defaultColWidth="11.421875" defaultRowHeight="12.75"/>
  <sheetData>
    <row r="1" spans="1:6" ht="12.75">
      <c r="A1" s="2" t="s">
        <v>13</v>
      </c>
      <c r="B1" s="2"/>
      <c r="C1" s="2"/>
      <c r="D1" s="20" t="s">
        <v>105</v>
      </c>
      <c r="E1" s="2"/>
      <c r="F1" s="2"/>
    </row>
    <row r="2" spans="1:6" ht="12.75">
      <c r="A2" s="2" t="s">
        <v>37</v>
      </c>
      <c r="B2" s="2" t="s">
        <v>36</v>
      </c>
      <c r="C2" s="2"/>
      <c r="D2" s="2"/>
      <c r="E2" s="2" t="s">
        <v>35</v>
      </c>
      <c r="F2" s="2"/>
    </row>
    <row r="3" spans="1:6" ht="12.75">
      <c r="A3" s="2" t="s">
        <v>19</v>
      </c>
      <c r="B3" s="5"/>
      <c r="C3" s="2"/>
      <c r="D3" s="2"/>
      <c r="E3" s="2" t="s">
        <v>21</v>
      </c>
      <c r="F3" s="2" t="s">
        <v>67</v>
      </c>
    </row>
    <row r="4" spans="1:6" ht="12.75">
      <c r="A4" s="2" t="s">
        <v>4</v>
      </c>
      <c r="B4" s="5"/>
      <c r="C4" s="2"/>
      <c r="D4" s="2"/>
      <c r="E4" s="2" t="s">
        <v>21</v>
      </c>
      <c r="F4" s="2" t="s">
        <v>68</v>
      </c>
    </row>
    <row r="5" spans="1:6" ht="12.75">
      <c r="A5" s="2" t="s">
        <v>5</v>
      </c>
      <c r="B5" s="5"/>
      <c r="C5" s="2"/>
      <c r="D5" s="2"/>
      <c r="E5" s="2" t="s">
        <v>22</v>
      </c>
      <c r="F5" s="2" t="s">
        <v>69</v>
      </c>
    </row>
    <row r="6" spans="1:6" ht="12.75">
      <c r="A6" s="7" t="s">
        <v>6</v>
      </c>
      <c r="B6" s="5"/>
      <c r="C6" s="2"/>
      <c r="D6" s="2"/>
      <c r="E6" s="2" t="s">
        <v>22</v>
      </c>
      <c r="F6" s="2" t="s">
        <v>70</v>
      </c>
    </row>
    <row r="7" spans="1:6" ht="14.25">
      <c r="A7" s="9" t="s">
        <v>38</v>
      </c>
      <c r="B7" s="5">
        <v>0.00393</v>
      </c>
      <c r="C7" s="2"/>
      <c r="D7" s="2"/>
      <c r="E7" s="2" t="s">
        <v>72</v>
      </c>
      <c r="F7" s="2" t="s">
        <v>71</v>
      </c>
    </row>
    <row r="8" spans="1:6" ht="12.75">
      <c r="A8" s="2"/>
      <c r="B8" s="2"/>
      <c r="C8" s="2"/>
      <c r="D8" s="2"/>
      <c r="E8" s="2"/>
      <c r="F8" s="2"/>
    </row>
    <row r="9" spans="1:6" ht="12.75">
      <c r="A9" s="2" t="s">
        <v>46</v>
      </c>
      <c r="B9" s="2"/>
      <c r="C9" s="2"/>
      <c r="D9" s="2"/>
      <c r="E9" s="2"/>
      <c r="F9" s="2"/>
    </row>
    <row r="10" spans="1:6" ht="12.75">
      <c r="A10" s="2" t="s">
        <v>18</v>
      </c>
      <c r="B10" s="2">
        <v>1</v>
      </c>
      <c r="C10" s="2">
        <v>2</v>
      </c>
      <c r="D10" s="2">
        <v>3</v>
      </c>
      <c r="E10" s="2" t="s">
        <v>2</v>
      </c>
      <c r="F10" s="2" t="s">
        <v>57</v>
      </c>
    </row>
    <row r="11" spans="1:6" ht="12.75">
      <c r="A11" s="2" t="s">
        <v>14</v>
      </c>
      <c r="B11" s="4"/>
      <c r="C11" s="4"/>
      <c r="D11" s="4"/>
      <c r="E11" s="2" t="s">
        <v>30</v>
      </c>
      <c r="F11" s="2" t="s">
        <v>58</v>
      </c>
    </row>
    <row r="12" spans="1:6" ht="12.75">
      <c r="A12" s="2" t="s">
        <v>0</v>
      </c>
      <c r="B12" s="11"/>
      <c r="C12" s="4"/>
      <c r="D12" s="4"/>
      <c r="E12" s="2" t="s">
        <v>31</v>
      </c>
      <c r="F12" s="2" t="s">
        <v>59</v>
      </c>
    </row>
    <row r="13" spans="1:6" ht="12.75">
      <c r="A13" s="9" t="s">
        <v>15</v>
      </c>
      <c r="B13" s="4"/>
      <c r="C13" s="4"/>
      <c r="D13" s="4"/>
      <c r="E13" s="2" t="s">
        <v>32</v>
      </c>
      <c r="F13" s="2" t="s">
        <v>60</v>
      </c>
    </row>
    <row r="14" spans="1:6" ht="12.75">
      <c r="A14" s="9" t="s">
        <v>16</v>
      </c>
      <c r="B14" s="4"/>
      <c r="C14" s="4"/>
      <c r="D14" s="2" t="s">
        <v>33</v>
      </c>
      <c r="E14" s="2" t="s">
        <v>32</v>
      </c>
      <c r="F14" s="2" t="s">
        <v>61</v>
      </c>
    </row>
    <row r="15" spans="1:6" ht="12.75">
      <c r="A15" s="2" t="s">
        <v>17</v>
      </c>
      <c r="B15" s="2" t="s">
        <v>33</v>
      </c>
      <c r="C15" s="2" t="s">
        <v>33</v>
      </c>
      <c r="D15" s="4"/>
      <c r="E15" s="2" t="s">
        <v>34</v>
      </c>
      <c r="F15" s="2" t="s">
        <v>62</v>
      </c>
    </row>
    <row r="16" spans="1:6" ht="12.75">
      <c r="A16" s="6" t="s">
        <v>81</v>
      </c>
      <c r="B16" s="15"/>
      <c r="C16" s="2" t="s">
        <v>33</v>
      </c>
      <c r="D16" s="14" t="s">
        <v>33</v>
      </c>
      <c r="E16" s="6" t="s">
        <v>28</v>
      </c>
      <c r="F16" s="6" t="s">
        <v>82</v>
      </c>
    </row>
    <row r="17" spans="1:6" ht="12.75">
      <c r="A17" s="13" t="s">
        <v>84</v>
      </c>
      <c r="B17" s="2">
        <f>0.37*$B$13+0.63*$B$14</f>
        <v>0</v>
      </c>
      <c r="C17" s="2" t="s">
        <v>33</v>
      </c>
      <c r="D17" s="14" t="s">
        <v>33</v>
      </c>
      <c r="E17" s="6" t="s">
        <v>32</v>
      </c>
      <c r="F17" s="6" t="s">
        <v>86</v>
      </c>
    </row>
    <row r="18" spans="1:6" ht="12.75">
      <c r="A18" s="6" t="s">
        <v>83</v>
      </c>
      <c r="B18" s="15"/>
      <c r="C18" s="2" t="s">
        <v>33</v>
      </c>
      <c r="D18" s="14" t="s">
        <v>33</v>
      </c>
      <c r="E18" s="6" t="s">
        <v>28</v>
      </c>
      <c r="F18" s="6" t="s">
        <v>88</v>
      </c>
    </row>
    <row r="19" spans="1:6" ht="12.75">
      <c r="A19" s="6" t="s">
        <v>80</v>
      </c>
      <c r="B19" s="15"/>
      <c r="C19" s="2" t="s">
        <v>33</v>
      </c>
      <c r="D19" s="14" t="s">
        <v>33</v>
      </c>
      <c r="E19" s="6" t="s">
        <v>28</v>
      </c>
      <c r="F19" s="6" t="s">
        <v>89</v>
      </c>
    </row>
    <row r="20" spans="1:6" ht="12.75">
      <c r="A20" s="13" t="s">
        <v>87</v>
      </c>
      <c r="B20" s="2">
        <f>$B$13-0.37*$B$14</f>
        <v>0</v>
      </c>
      <c r="C20" s="2" t="s">
        <v>33</v>
      </c>
      <c r="D20" s="14" t="s">
        <v>33</v>
      </c>
      <c r="E20" s="6" t="s">
        <v>32</v>
      </c>
      <c r="F20" s="2" t="s">
        <v>85</v>
      </c>
    </row>
    <row r="21" spans="1:6" ht="12.75">
      <c r="A21" s="16" t="s">
        <v>90</v>
      </c>
      <c r="B21" s="15"/>
      <c r="C21" s="2" t="s">
        <v>33</v>
      </c>
      <c r="D21" s="2" t="s">
        <v>33</v>
      </c>
      <c r="E21" s="6" t="s">
        <v>28</v>
      </c>
      <c r="F21" s="6" t="s">
        <v>91</v>
      </c>
    </row>
    <row r="22" spans="1:6" ht="12.75">
      <c r="A22" s="2" t="s">
        <v>26</v>
      </c>
      <c r="B22" s="4"/>
      <c r="C22" s="2" t="s">
        <v>33</v>
      </c>
      <c r="D22" s="2" t="s">
        <v>33</v>
      </c>
      <c r="E22" s="6" t="s">
        <v>29</v>
      </c>
      <c r="F22" s="2" t="s">
        <v>65</v>
      </c>
    </row>
    <row r="23" spans="1:6" ht="12.75">
      <c r="A23" s="2" t="s">
        <v>27</v>
      </c>
      <c r="B23" s="4"/>
      <c r="C23" s="2" t="s">
        <v>33</v>
      </c>
      <c r="D23" s="2" t="s">
        <v>33</v>
      </c>
      <c r="E23" s="6" t="s">
        <v>29</v>
      </c>
      <c r="F23" s="2" t="s">
        <v>66</v>
      </c>
    </row>
    <row r="25" spans="1:6" ht="12.75">
      <c r="A25" s="7" t="s">
        <v>45</v>
      </c>
      <c r="B25" s="2" t="s">
        <v>2</v>
      </c>
      <c r="C25" s="2" t="s">
        <v>2</v>
      </c>
      <c r="D25" s="2" t="s">
        <v>8</v>
      </c>
      <c r="E25" s="2" t="s">
        <v>2</v>
      </c>
      <c r="F25" s="2"/>
    </row>
    <row r="26" spans="1:13" ht="12.75">
      <c r="A26" s="2" t="s">
        <v>20</v>
      </c>
      <c r="B26" s="3"/>
      <c r="C26" s="3"/>
      <c r="D26" s="3"/>
      <c r="E26" s="3"/>
      <c r="F26" s="8"/>
      <c r="G26" s="1"/>
      <c r="J26" s="1"/>
      <c r="K26" s="1"/>
      <c r="L26" s="1"/>
      <c r="M26" s="1"/>
    </row>
    <row r="27" spans="1:6" ht="12.75">
      <c r="A27" s="3" t="s">
        <v>1</v>
      </c>
      <c r="B27" s="17">
        <f>$B$3*(1+$B$7*B13)*B12^2</f>
        <v>0</v>
      </c>
      <c r="C27" s="17">
        <f>$B$3*(1+$B$7*C13)*C12^2</f>
        <v>0</v>
      </c>
      <c r="D27" s="17">
        <f>$B$3*(1+$B$7*D13)*D12^2</f>
        <v>0</v>
      </c>
      <c r="E27" s="2" t="s">
        <v>39</v>
      </c>
      <c r="F27" s="2" t="s">
        <v>93</v>
      </c>
    </row>
    <row r="28" spans="1:8" ht="12.75">
      <c r="A28" s="3" t="s">
        <v>7</v>
      </c>
      <c r="B28" s="17" t="e">
        <f>$B$4*B12^2/(1+($B$4/(0.001*$B$6*6.28*B11))^2)</f>
        <v>#DIV/0!</v>
      </c>
      <c r="C28" s="17" t="e">
        <f>$B$4*C12^2/(1+($B$4/(0.001*$B$6*6.28*C11))^2)</f>
        <v>#DIV/0!</v>
      </c>
      <c r="D28" s="17" t="e">
        <f>$B$4*D12^2/(1+($B$4/(0.001*$B$6*6.28*D11))^2)</f>
        <v>#DIV/0!</v>
      </c>
      <c r="E28" s="2" t="s">
        <v>39</v>
      </c>
      <c r="F28" s="2" t="s">
        <v>94</v>
      </c>
      <c r="H28" t="s">
        <v>2</v>
      </c>
    </row>
    <row r="29" spans="1:6" ht="12.75">
      <c r="A29" s="12" t="s">
        <v>97</v>
      </c>
      <c r="B29" s="17" t="e">
        <f>B27+$B$42*B28</f>
        <v>#DIV/0!</v>
      </c>
      <c r="C29" s="17" t="e">
        <f>C27+$B$42*C28</f>
        <v>#DIV/0!</v>
      </c>
      <c r="D29" s="17" t="e">
        <f>D27+$B$42*D28</f>
        <v>#DIV/0!</v>
      </c>
      <c r="E29" s="6" t="s">
        <v>39</v>
      </c>
      <c r="F29" s="6" t="s">
        <v>98</v>
      </c>
    </row>
    <row r="30" spans="1:6" ht="12.75">
      <c r="A30" s="3" t="s">
        <v>11</v>
      </c>
      <c r="B30" s="17">
        <v>0</v>
      </c>
      <c r="C30" s="17">
        <v>0</v>
      </c>
      <c r="D30" s="17" t="e">
        <f>(D27+$B$42*D28)*($B$39+$B$40)/($B$39+$B$40+D35)</f>
        <v>#DIV/0!</v>
      </c>
      <c r="E30" s="2" t="s">
        <v>39</v>
      </c>
      <c r="F30" s="2" t="s">
        <v>95</v>
      </c>
    </row>
    <row r="31" spans="1:6" ht="12.75">
      <c r="A31" s="3" t="s">
        <v>77</v>
      </c>
      <c r="B31" s="17" t="e">
        <f>(B27+$B$42*B28)-B30</f>
        <v>#DIV/0!</v>
      </c>
      <c r="C31" s="17" t="e">
        <f>(C27+$B$42*C28)-C30</f>
        <v>#DIV/0!</v>
      </c>
      <c r="D31" s="17" t="e">
        <f>(D27+$B$42*D28)-D30</f>
        <v>#DIV/0!</v>
      </c>
      <c r="E31" s="2" t="s">
        <v>39</v>
      </c>
      <c r="F31" s="2" t="s">
        <v>78</v>
      </c>
    </row>
    <row r="32" spans="1:6" ht="12.75">
      <c r="A32" s="12" t="s">
        <v>79</v>
      </c>
      <c r="B32" s="18" t="e">
        <f>(1-$B$42)*B28</f>
        <v>#DIV/0!</v>
      </c>
      <c r="C32" s="18" t="e">
        <f>(1-$B$42)*C28</f>
        <v>#DIV/0!</v>
      </c>
      <c r="D32" s="18" t="e">
        <f>(1-$B$42)*D28</f>
        <v>#DIV/0!</v>
      </c>
      <c r="E32" s="6" t="s">
        <v>39</v>
      </c>
      <c r="F32" s="6" t="s">
        <v>96</v>
      </c>
    </row>
    <row r="33" spans="1:6" ht="12.75">
      <c r="A33" s="3" t="s">
        <v>24</v>
      </c>
      <c r="B33" s="17" t="e">
        <f>B28*(1-$B$42)+B31</f>
        <v>#DIV/0!</v>
      </c>
      <c r="C33" s="17" t="e">
        <f>C28*(1-$B$42/100)+C31</f>
        <v>#DIV/0!</v>
      </c>
      <c r="D33" s="17" t="e">
        <f>D28*(1-$B$42/100)+D31</f>
        <v>#DIV/0!</v>
      </c>
      <c r="E33" s="2" t="s">
        <v>39</v>
      </c>
      <c r="F33" s="2" t="s">
        <v>92</v>
      </c>
    </row>
    <row r="34" spans="1:6" ht="12.75">
      <c r="A34" s="9" t="s">
        <v>25</v>
      </c>
      <c r="B34" s="17" t="e">
        <f>(B30+B32)/(B27+B28)*100</f>
        <v>#DIV/0!</v>
      </c>
      <c r="C34" s="17" t="e">
        <f>(C30+C32)/(C27+C28)*100</f>
        <v>#DIV/0!</v>
      </c>
      <c r="D34" s="17" t="e">
        <f>(D30+D32)/(D27+D28)*100</f>
        <v>#DIV/0!</v>
      </c>
      <c r="E34" s="2" t="s">
        <v>47</v>
      </c>
      <c r="F34" s="2" t="s">
        <v>53</v>
      </c>
    </row>
    <row r="35" spans="1:6" ht="12.75">
      <c r="A35" s="3" t="s">
        <v>42</v>
      </c>
      <c r="B35" s="2" t="s">
        <v>33</v>
      </c>
      <c r="C35" s="2" t="s">
        <v>43</v>
      </c>
      <c r="D35" s="2" t="e">
        <f>1/(D27/D13-1/($B$39+$B$40))</f>
        <v>#DIV/0!</v>
      </c>
      <c r="E35" s="2" t="s">
        <v>9</v>
      </c>
      <c r="F35" s="2" t="s">
        <v>54</v>
      </c>
    </row>
    <row r="36" spans="1:6" ht="12.75">
      <c r="A36" s="8" t="s">
        <v>23</v>
      </c>
      <c r="B36" s="3" t="e">
        <f>($B$13-$B$14)/($C$13-$C$14)</f>
        <v>#DIV/0!</v>
      </c>
      <c r="C36" s="2"/>
      <c r="D36" s="2"/>
      <c r="E36" s="2"/>
      <c r="F36" s="2" t="s">
        <v>56</v>
      </c>
    </row>
    <row r="37" spans="1:6" ht="12.75">
      <c r="A37" s="2"/>
      <c r="B37" s="2"/>
      <c r="C37" s="2"/>
      <c r="D37" s="2"/>
      <c r="E37" s="2"/>
      <c r="F37" s="2"/>
    </row>
    <row r="38" spans="1:6" ht="12.75">
      <c r="A38" s="2" t="s">
        <v>55</v>
      </c>
      <c r="B38" s="2"/>
      <c r="C38" s="2"/>
      <c r="D38" s="2"/>
      <c r="E38" s="2"/>
      <c r="F38" s="2"/>
    </row>
    <row r="39" spans="1:6" ht="12.75">
      <c r="A39" s="2" t="s">
        <v>3</v>
      </c>
      <c r="B39" s="17" t="e">
        <f>$B$14*(($B$22+$B$23)/($B$22))/($B$27+$B$28)</f>
        <v>#DIV/0!</v>
      </c>
      <c r="C39" s="2"/>
      <c r="D39" s="2"/>
      <c r="E39" s="2" t="s">
        <v>9</v>
      </c>
      <c r="F39" s="2" t="s">
        <v>48</v>
      </c>
    </row>
    <row r="40" spans="1:6" ht="12.75">
      <c r="A40" s="2" t="s">
        <v>10</v>
      </c>
      <c r="B40" s="17" t="e">
        <f>($B$13-$B$14)/($B$27+$B$42*$B$28)</f>
        <v>#DIV/0!</v>
      </c>
      <c r="C40" s="2"/>
      <c r="D40" s="2"/>
      <c r="E40" s="2" t="s">
        <v>9</v>
      </c>
      <c r="F40" s="2" t="s">
        <v>49</v>
      </c>
    </row>
    <row r="41" spans="1:6" ht="18.75">
      <c r="A41" s="2" t="s">
        <v>44</v>
      </c>
      <c r="B41" s="17" t="e">
        <f>1/($D$35*$D$15*6.28*$D$11*0.001)</f>
        <v>#DIV/0!</v>
      </c>
      <c r="C41" s="2"/>
      <c r="D41" s="2"/>
      <c r="E41" s="10" t="s">
        <v>73</v>
      </c>
      <c r="F41" s="2" t="s">
        <v>50</v>
      </c>
    </row>
    <row r="42" spans="1:6" ht="12.75">
      <c r="A42" s="2" t="s">
        <v>12</v>
      </c>
      <c r="B42" s="17" t="e">
        <f>-($B$36*$C$27-$B$27)/($B$36*$C$28-$B$28)</f>
        <v>#DIV/0!</v>
      </c>
      <c r="C42" s="2"/>
      <c r="D42" s="2"/>
      <c r="E42" s="6"/>
      <c r="F42" s="2" t="s">
        <v>99</v>
      </c>
    </row>
    <row r="43" spans="1:6" ht="15.75">
      <c r="A43" s="2" t="s">
        <v>40</v>
      </c>
      <c r="B43" s="17" t="e">
        <f>$B$46/$B$40</f>
        <v>#DIV/0!</v>
      </c>
      <c r="C43" s="2"/>
      <c r="D43" s="2"/>
      <c r="E43" s="10" t="s">
        <v>74</v>
      </c>
      <c r="F43" s="2" t="s">
        <v>51</v>
      </c>
    </row>
    <row r="44" spans="1:6" ht="15.75">
      <c r="A44" s="2" t="s">
        <v>41</v>
      </c>
      <c r="B44" s="17" t="e">
        <f>$B$45/$B$39</f>
        <v>#DIV/0!</v>
      </c>
      <c r="C44" s="2"/>
      <c r="D44" s="2"/>
      <c r="E44" s="10" t="s">
        <v>74</v>
      </c>
      <c r="F44" s="2" t="s">
        <v>52</v>
      </c>
    </row>
    <row r="45" spans="1:6" ht="12.75">
      <c r="A45" s="9" t="s">
        <v>75</v>
      </c>
      <c r="B45" s="19">
        <f>$B$21-$B$19</f>
        <v>0</v>
      </c>
      <c r="C45" s="2"/>
      <c r="D45" s="2"/>
      <c r="E45" s="2" t="s">
        <v>28</v>
      </c>
      <c r="F45" s="2" t="s">
        <v>63</v>
      </c>
    </row>
    <row r="46" spans="1:6" ht="12.75">
      <c r="A46" s="9" t="s">
        <v>76</v>
      </c>
      <c r="B46" s="19">
        <f>$B$18-$B$16</f>
        <v>0</v>
      </c>
      <c r="C46" s="2"/>
      <c r="D46" s="2"/>
      <c r="E46" s="2" t="s">
        <v>28</v>
      </c>
      <c r="F46" s="2" t="s">
        <v>64</v>
      </c>
    </row>
    <row r="47" spans="1:6" ht="12.75">
      <c r="A47" s="6" t="s">
        <v>102</v>
      </c>
      <c r="B47" s="18" t="e">
        <f>2.7*$B$43</f>
        <v>#DIV/0!</v>
      </c>
      <c r="E47" s="6" t="s">
        <v>100</v>
      </c>
      <c r="F47" s="6" t="s">
        <v>101</v>
      </c>
    </row>
    <row r="48" spans="1:6" ht="12.75">
      <c r="A48" s="6" t="s">
        <v>103</v>
      </c>
      <c r="B48" s="18" t="e">
        <f>2*$B$44</f>
        <v>#DIV/0!</v>
      </c>
      <c r="E48" s="6" t="s">
        <v>100</v>
      </c>
      <c r="F48" s="6" t="s">
        <v>104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IV16384"/>
    </sheetView>
  </sheetViews>
  <sheetFormatPr defaultColWidth="11.421875" defaultRowHeight="12.75"/>
  <sheetData>
    <row r="1" spans="1:6" ht="12.75">
      <c r="A1" s="2" t="s">
        <v>13</v>
      </c>
      <c r="B1" s="2"/>
      <c r="C1" s="2"/>
      <c r="D1" s="20" t="s">
        <v>105</v>
      </c>
      <c r="E1" s="2"/>
      <c r="F1" s="2"/>
    </row>
    <row r="2" spans="1:6" ht="12.75">
      <c r="A2" s="2" t="s">
        <v>37</v>
      </c>
      <c r="B2" s="2" t="s">
        <v>36</v>
      </c>
      <c r="C2" s="2"/>
      <c r="D2" s="2"/>
      <c r="E2" s="2" t="s">
        <v>35</v>
      </c>
      <c r="F2" s="2"/>
    </row>
    <row r="3" spans="1:6" ht="12.75">
      <c r="A3" s="2" t="s">
        <v>19</v>
      </c>
      <c r="B3" s="5">
        <v>1.86</v>
      </c>
      <c r="C3" s="2"/>
      <c r="D3" s="2"/>
      <c r="E3" s="2" t="s">
        <v>21</v>
      </c>
      <c r="F3" s="2" t="s">
        <v>67</v>
      </c>
    </row>
    <row r="4" spans="1:6" ht="12.75">
      <c r="A4" s="2" t="s">
        <v>4</v>
      </c>
      <c r="B4" s="5">
        <v>4</v>
      </c>
      <c r="C4" s="2"/>
      <c r="D4" s="2"/>
      <c r="E4" s="2" t="s">
        <v>21</v>
      </c>
      <c r="F4" s="2" t="s">
        <v>68</v>
      </c>
    </row>
    <row r="5" spans="1:6" ht="12.75">
      <c r="A5" s="2" t="s">
        <v>5</v>
      </c>
      <c r="B5" s="5">
        <v>0.17</v>
      </c>
      <c r="C5" s="2"/>
      <c r="D5" s="2"/>
      <c r="E5" s="2" t="s">
        <v>22</v>
      </c>
      <c r="F5" s="2" t="s">
        <v>69</v>
      </c>
    </row>
    <row r="6" spans="1:6" ht="12.75">
      <c r="A6" s="7" t="s">
        <v>6</v>
      </c>
      <c r="B6" s="5">
        <v>0.32</v>
      </c>
      <c r="C6" s="2"/>
      <c r="D6" s="2"/>
      <c r="E6" s="2" t="s">
        <v>22</v>
      </c>
      <c r="F6" s="2" t="s">
        <v>70</v>
      </c>
    </row>
    <row r="7" spans="1:6" ht="14.25">
      <c r="A7" s="9" t="s">
        <v>38</v>
      </c>
      <c r="B7" s="5">
        <v>0.00393</v>
      </c>
      <c r="C7" s="2"/>
      <c r="D7" s="2"/>
      <c r="E7" s="2" t="s">
        <v>72</v>
      </c>
      <c r="F7" s="2" t="s">
        <v>71</v>
      </c>
    </row>
    <row r="8" spans="1:6" ht="12.75">
      <c r="A8" s="2"/>
      <c r="B8" s="2"/>
      <c r="C8" s="2"/>
      <c r="D8" s="2"/>
      <c r="E8" s="2"/>
      <c r="F8" s="2"/>
    </row>
    <row r="9" spans="1:6" ht="12.75">
      <c r="A9" s="2" t="s">
        <v>46</v>
      </c>
      <c r="B9" s="2"/>
      <c r="C9" s="2"/>
      <c r="D9" s="2"/>
      <c r="E9" s="2"/>
      <c r="F9" s="2"/>
    </row>
    <row r="10" spans="1:6" ht="12.75">
      <c r="A10" s="2" t="s">
        <v>18</v>
      </c>
      <c r="B10" s="2">
        <v>1</v>
      </c>
      <c r="C10" s="2">
        <v>2</v>
      </c>
      <c r="D10" s="2">
        <v>3</v>
      </c>
      <c r="E10" s="2" t="s">
        <v>2</v>
      </c>
      <c r="F10" s="2" t="s">
        <v>57</v>
      </c>
    </row>
    <row r="11" spans="1:6" ht="12.75">
      <c r="A11" s="2" t="s">
        <v>14</v>
      </c>
      <c r="B11" s="4">
        <v>500</v>
      </c>
      <c r="C11" s="4">
        <v>5000</v>
      </c>
      <c r="D11" s="4">
        <v>75</v>
      </c>
      <c r="E11" s="2" t="s">
        <v>30</v>
      </c>
      <c r="F11" s="2" t="s">
        <v>58</v>
      </c>
    </row>
    <row r="12" spans="1:6" ht="12.75">
      <c r="A12" s="2" t="s">
        <v>0</v>
      </c>
      <c r="B12" s="11">
        <v>2.15</v>
      </c>
      <c r="C12" s="4">
        <v>1.33</v>
      </c>
      <c r="D12" s="4">
        <v>2.3</v>
      </c>
      <c r="E12" s="2" t="s">
        <v>31</v>
      </c>
      <c r="F12" s="2" t="s">
        <v>59</v>
      </c>
    </row>
    <row r="13" spans="1:6" ht="12.75">
      <c r="A13" s="9" t="s">
        <v>15</v>
      </c>
      <c r="B13" s="4">
        <v>106</v>
      </c>
      <c r="C13" s="4">
        <v>83</v>
      </c>
      <c r="D13" s="4">
        <v>33</v>
      </c>
      <c r="E13" s="2" t="s">
        <v>32</v>
      </c>
      <c r="F13" s="2" t="s">
        <v>60</v>
      </c>
    </row>
    <row r="14" spans="1:6" ht="12.75">
      <c r="A14" s="9" t="s">
        <v>16</v>
      </c>
      <c r="B14" s="4">
        <v>33</v>
      </c>
      <c r="C14" s="4">
        <v>32</v>
      </c>
      <c r="D14" s="2" t="s">
        <v>33</v>
      </c>
      <c r="E14" s="2" t="s">
        <v>32</v>
      </c>
      <c r="F14" s="2" t="s">
        <v>61</v>
      </c>
    </row>
    <row r="15" spans="1:6" ht="12.75">
      <c r="A15" s="2" t="s">
        <v>17</v>
      </c>
      <c r="B15" s="2" t="s">
        <v>33</v>
      </c>
      <c r="C15" s="2" t="s">
        <v>33</v>
      </c>
      <c r="D15" s="4">
        <v>2.9</v>
      </c>
      <c r="E15" s="2" t="s">
        <v>34</v>
      </c>
      <c r="F15" s="2" t="s">
        <v>62</v>
      </c>
    </row>
    <row r="16" spans="1:6" ht="12.75">
      <c r="A16" s="6" t="s">
        <v>81</v>
      </c>
      <c r="B16" s="15">
        <v>3402</v>
      </c>
      <c r="C16" s="2" t="s">
        <v>33</v>
      </c>
      <c r="D16" s="14" t="s">
        <v>33</v>
      </c>
      <c r="E16" s="6" t="s">
        <v>28</v>
      </c>
      <c r="F16" s="6" t="s">
        <v>82</v>
      </c>
    </row>
    <row r="17" spans="1:6" ht="12.75">
      <c r="A17" s="13" t="s">
        <v>84</v>
      </c>
      <c r="B17" s="2">
        <f>0.37*$B$13+0.63*$B$14</f>
        <v>60.01</v>
      </c>
      <c r="C17" s="2" t="s">
        <v>33</v>
      </c>
      <c r="D17" s="14" t="s">
        <v>33</v>
      </c>
      <c r="E17" s="6" t="s">
        <v>32</v>
      </c>
      <c r="F17" s="6" t="s">
        <v>86</v>
      </c>
    </row>
    <row r="18" spans="1:6" ht="12.75">
      <c r="A18" s="6" t="s">
        <v>83</v>
      </c>
      <c r="B18" s="15">
        <v>3426</v>
      </c>
      <c r="C18" s="2" t="s">
        <v>33</v>
      </c>
      <c r="D18" s="14" t="s">
        <v>33</v>
      </c>
      <c r="E18" s="6" t="s">
        <v>28</v>
      </c>
      <c r="F18" s="6" t="s">
        <v>88</v>
      </c>
    </row>
    <row r="19" spans="1:6" ht="12.75">
      <c r="A19" s="6" t="s">
        <v>80</v>
      </c>
      <c r="B19" s="15">
        <v>90</v>
      </c>
      <c r="C19" s="2" t="s">
        <v>33</v>
      </c>
      <c r="D19" s="14" t="s">
        <v>33</v>
      </c>
      <c r="E19" s="6" t="s">
        <v>28</v>
      </c>
      <c r="F19" s="6" t="s">
        <v>89</v>
      </c>
    </row>
    <row r="20" spans="1:6" ht="12.75">
      <c r="A20" s="13" t="s">
        <v>87</v>
      </c>
      <c r="B20" s="2">
        <f>$B$13-0.37*$B$14</f>
        <v>93.79</v>
      </c>
      <c r="C20" s="2" t="s">
        <v>33</v>
      </c>
      <c r="D20" s="14" t="s">
        <v>33</v>
      </c>
      <c r="E20" s="6" t="s">
        <v>32</v>
      </c>
      <c r="F20" s="2" t="s">
        <v>85</v>
      </c>
    </row>
    <row r="21" spans="1:6" ht="12.75">
      <c r="A21" s="16" t="s">
        <v>90</v>
      </c>
      <c r="B21" s="15">
        <v>1114</v>
      </c>
      <c r="C21" s="2" t="s">
        <v>33</v>
      </c>
      <c r="D21" s="2" t="s">
        <v>33</v>
      </c>
      <c r="E21" s="6" t="s">
        <v>28</v>
      </c>
      <c r="F21" s="6" t="s">
        <v>91</v>
      </c>
    </row>
    <row r="22" spans="1:6" ht="12.75">
      <c r="A22" s="2" t="s">
        <v>26</v>
      </c>
      <c r="B22" s="4">
        <v>25</v>
      </c>
      <c r="C22" s="2" t="s">
        <v>33</v>
      </c>
      <c r="D22" s="2" t="s">
        <v>33</v>
      </c>
      <c r="E22" s="6" t="s">
        <v>29</v>
      </c>
      <c r="F22" s="2" t="s">
        <v>65</v>
      </c>
    </row>
    <row r="23" spans="1:6" ht="12.75">
      <c r="A23" s="2" t="s">
        <v>27</v>
      </c>
      <c r="B23" s="4">
        <v>5</v>
      </c>
      <c r="C23" s="2" t="s">
        <v>33</v>
      </c>
      <c r="D23" s="2" t="s">
        <v>33</v>
      </c>
      <c r="E23" s="6" t="s">
        <v>29</v>
      </c>
      <c r="F23" s="2" t="s">
        <v>66</v>
      </c>
    </row>
    <row r="25" spans="1:6" ht="12.75">
      <c r="A25" s="7" t="s">
        <v>45</v>
      </c>
      <c r="B25" s="2" t="s">
        <v>2</v>
      </c>
      <c r="C25" s="2" t="s">
        <v>2</v>
      </c>
      <c r="D25" s="2" t="s">
        <v>8</v>
      </c>
      <c r="E25" s="2" t="s">
        <v>2</v>
      </c>
      <c r="F25" s="2"/>
    </row>
    <row r="26" spans="1:13" ht="12.75">
      <c r="A26" s="2" t="s">
        <v>20</v>
      </c>
      <c r="B26" s="3"/>
      <c r="C26" s="3"/>
      <c r="D26" s="3"/>
      <c r="E26" s="3"/>
      <c r="F26" s="8"/>
      <c r="G26" s="1"/>
      <c r="J26" s="1"/>
      <c r="K26" s="1"/>
      <c r="L26" s="1"/>
      <c r="M26" s="1"/>
    </row>
    <row r="27" spans="1:6" ht="12.75">
      <c r="A27" s="3" t="s">
        <v>1</v>
      </c>
      <c r="B27" s="17">
        <f>$B$3*(1+$B$7*B13)*B12^2</f>
        <v>12.179542353</v>
      </c>
      <c r="C27" s="17">
        <f>$B$3*(1+$B$7*C13)*C12^2</f>
        <v>4.3633693332600005</v>
      </c>
      <c r="D27" s="17">
        <f>$B$3*(1+$B$7*D13)*D12^2</f>
        <v>11.115471786</v>
      </c>
      <c r="E27" s="2" t="s">
        <v>39</v>
      </c>
      <c r="F27" s="2" t="s">
        <v>93</v>
      </c>
    </row>
    <row r="28" spans="1:8" ht="12.75">
      <c r="A28" s="3" t="s">
        <v>7</v>
      </c>
      <c r="B28" s="17">
        <f>$B$4*B12^2/(1+($B$4/(0.001*$B$6*6.28*B11))^2)</f>
        <v>1.0974922822040392</v>
      </c>
      <c r="C28" s="17">
        <f>$B$4*C12^2/(1+($B$4/(0.001*$B$6*6.28*C11))^2)</f>
        <v>6.107684730478634</v>
      </c>
      <c r="D28" s="17">
        <f>$B$4*D12^2/(1+($B$4/(0.001*$B$6*6.28*D11))^2)</f>
        <v>0.030000002109005674</v>
      </c>
      <c r="E28" s="2" t="s">
        <v>39</v>
      </c>
      <c r="F28" s="2" t="s">
        <v>94</v>
      </c>
      <c r="H28" t="s">
        <v>2</v>
      </c>
    </row>
    <row r="29" spans="1:6" ht="12.75">
      <c r="A29" s="12" t="s">
        <v>97</v>
      </c>
      <c r="B29" s="17">
        <f>B27+$B$42*B28</f>
        <v>13.031412909203587</v>
      </c>
      <c r="C29" s="17">
        <f>C27+$B$42*C28</f>
        <v>9.104137785881957</v>
      </c>
      <c r="D29" s="17">
        <f>D27+$B$42*D28</f>
        <v>11.138757706909972</v>
      </c>
      <c r="E29" s="6" t="s">
        <v>39</v>
      </c>
      <c r="F29" s="6" t="s">
        <v>98</v>
      </c>
    </row>
    <row r="30" spans="1:6" ht="12.75">
      <c r="A30" s="3" t="s">
        <v>11</v>
      </c>
      <c r="B30" s="17">
        <v>0</v>
      </c>
      <c r="C30" s="17">
        <v>0</v>
      </c>
      <c r="D30" s="17">
        <f>(D27+$B$42*D28)*($B$39+$B$40)/($B$39+$B$40+D35)</f>
        <v>7.286540929691233</v>
      </c>
      <c r="E30" s="2" t="s">
        <v>39</v>
      </c>
      <c r="F30" s="2" t="s">
        <v>95</v>
      </c>
    </row>
    <row r="31" spans="1:6" ht="12.75">
      <c r="A31" s="3" t="s">
        <v>77</v>
      </c>
      <c r="B31" s="17">
        <f>(B27+$B$42*B28)-B30</f>
        <v>13.031412909203587</v>
      </c>
      <c r="C31" s="17">
        <f>(C27+$B$42*C28)-C30</f>
        <v>9.104137785881957</v>
      </c>
      <c r="D31" s="17">
        <f>(D27+$B$42*D28)-D30</f>
        <v>3.8522167772187395</v>
      </c>
      <c r="E31" s="2" t="s">
        <v>39</v>
      </c>
      <c r="F31" s="2" t="s">
        <v>78</v>
      </c>
    </row>
    <row r="32" spans="1:6" ht="12.75">
      <c r="A32" s="12" t="s">
        <v>79</v>
      </c>
      <c r="B32" s="18">
        <f>(1-$B$42)*B28</f>
        <v>0.24562172600045332</v>
      </c>
      <c r="C32" s="18">
        <f>(1-$B$42)*C28</f>
        <v>1.3669162778566777</v>
      </c>
      <c r="D32" s="18">
        <f>(1-$B$42)*D28</f>
        <v>0.0067140811990341435</v>
      </c>
      <c r="E32" s="6" t="s">
        <v>39</v>
      </c>
      <c r="F32" s="6" t="s">
        <v>96</v>
      </c>
    </row>
    <row r="33" spans="1:6" ht="12.75">
      <c r="A33" s="3" t="s">
        <v>24</v>
      </c>
      <c r="B33" s="17">
        <f>B28*(1-$B$42)+B31</f>
        <v>13.27703463520404</v>
      </c>
      <c r="C33" s="17">
        <f>C28*(1-$B$42/100)+C31</f>
        <v>15.164414831834371</v>
      </c>
      <c r="D33" s="17">
        <f>D28*(1-$B$42/100)+D31</f>
        <v>3.8819839201186452</v>
      </c>
      <c r="E33" s="2" t="s">
        <v>39</v>
      </c>
      <c r="F33" s="2" t="s">
        <v>92</v>
      </c>
    </row>
    <row r="34" spans="1:6" ht="12.75">
      <c r="A34" s="9" t="s">
        <v>25</v>
      </c>
      <c r="B34" s="17">
        <f>(B30+B32)/(B27+B28)*100</f>
        <v>1.84997428077191</v>
      </c>
      <c r="C34" s="17">
        <f>(C30+C32)/(C27+C28)*100</f>
        <v>13.054237610999667</v>
      </c>
      <c r="D34" s="17">
        <f>(D30+D32)/(D27+D28)*100</f>
        <v>65.43693393644733</v>
      </c>
      <c r="E34" s="2" t="s">
        <v>47</v>
      </c>
      <c r="F34" s="2" t="s">
        <v>53</v>
      </c>
    </row>
    <row r="35" spans="1:6" ht="12.75">
      <c r="A35" s="3" t="s">
        <v>42</v>
      </c>
      <c r="B35" s="2" t="s">
        <v>33</v>
      </c>
      <c r="C35" s="2" t="s">
        <v>43</v>
      </c>
      <c r="D35" s="2">
        <f>1/(D27/D13-1/($B$39+$B$40))</f>
        <v>4.538385548448027</v>
      </c>
      <c r="E35" s="2" t="s">
        <v>9</v>
      </c>
      <c r="F35" s="2" t="s">
        <v>54</v>
      </c>
    </row>
    <row r="36" spans="1:6" ht="12.75">
      <c r="A36" s="8" t="s">
        <v>23</v>
      </c>
      <c r="B36" s="3">
        <f>($B$13-$B$14)/($C$13-$C$14)</f>
        <v>1.4313725490196079</v>
      </c>
      <c r="C36" s="2"/>
      <c r="D36" s="2"/>
      <c r="E36" s="2"/>
      <c r="F36" s="2" t="s">
        <v>56</v>
      </c>
    </row>
    <row r="37" spans="1:6" ht="12.75">
      <c r="A37" s="2"/>
      <c r="B37" s="2"/>
      <c r="C37" s="2"/>
      <c r="D37" s="2"/>
      <c r="E37" s="2"/>
      <c r="F37" s="2"/>
    </row>
    <row r="38" spans="1:6" ht="12.75">
      <c r="A38" s="2" t="s">
        <v>55</v>
      </c>
      <c r="B38" s="2"/>
      <c r="C38" s="2"/>
      <c r="D38" s="2"/>
      <c r="E38" s="2"/>
      <c r="F38" s="2"/>
    </row>
    <row r="39" spans="1:6" ht="12.75">
      <c r="A39" s="2" t="s">
        <v>3</v>
      </c>
      <c r="B39" s="17">
        <f>$B$14*(($B$22+$B$23)/($B$22))/($B$27+$B$28)</f>
        <v>2.982593710722171</v>
      </c>
      <c r="C39" s="2"/>
      <c r="D39" s="2"/>
      <c r="E39" s="2" t="s">
        <v>9</v>
      </c>
      <c r="F39" s="2" t="s">
        <v>48</v>
      </c>
    </row>
    <row r="40" spans="1:6" ht="12.75">
      <c r="A40" s="2" t="s">
        <v>10</v>
      </c>
      <c r="B40" s="17">
        <f>($B$13-$B$14)/($B$27+$B$42*$B$28)</f>
        <v>5.6018484341358645</v>
      </c>
      <c r="C40" s="2"/>
      <c r="D40" s="2"/>
      <c r="E40" s="2" t="s">
        <v>9</v>
      </c>
      <c r="F40" s="2" t="s">
        <v>49</v>
      </c>
    </row>
    <row r="41" spans="1:6" ht="18.75">
      <c r="A41" s="2" t="s">
        <v>44</v>
      </c>
      <c r="B41" s="17">
        <f>1/($D$35*$D$15*6.28*$D$11*0.001)</f>
        <v>0.1613168404510648</v>
      </c>
      <c r="C41" s="2"/>
      <c r="D41" s="2"/>
      <c r="E41" s="10" t="s">
        <v>73</v>
      </c>
      <c r="F41" s="2" t="s">
        <v>50</v>
      </c>
    </row>
    <row r="42" spans="1:6" ht="12.75">
      <c r="A42" s="2" t="s">
        <v>12</v>
      </c>
      <c r="B42" s="17">
        <f>-($B$36*$C$27-$B$27)/($B$36*$C$28-$B$28)</f>
        <v>0.7761973090989001</v>
      </c>
      <c r="C42" s="2"/>
      <c r="D42" s="2"/>
      <c r="E42" s="6"/>
      <c r="F42" s="2" t="s">
        <v>99</v>
      </c>
    </row>
    <row r="43" spans="1:6" ht="15.75">
      <c r="A43" s="2" t="s">
        <v>40</v>
      </c>
      <c r="B43" s="17">
        <f>$B$46/$B$40</f>
        <v>4.284300134532685</v>
      </c>
      <c r="C43" s="2"/>
      <c r="D43" s="2"/>
      <c r="E43" s="10" t="s">
        <v>74</v>
      </c>
      <c r="F43" s="2" t="s">
        <v>51</v>
      </c>
    </row>
    <row r="44" spans="1:6" ht="15.75">
      <c r="A44" s="2" t="s">
        <v>41</v>
      </c>
      <c r="B44" s="17">
        <f>$B$45/$B$39</f>
        <v>343.3253400618418</v>
      </c>
      <c r="C44" s="2"/>
      <c r="D44" s="2"/>
      <c r="E44" s="10" t="s">
        <v>74</v>
      </c>
      <c r="F44" s="2" t="s">
        <v>52</v>
      </c>
    </row>
    <row r="45" spans="1:6" ht="12.75">
      <c r="A45" s="9" t="s">
        <v>75</v>
      </c>
      <c r="B45" s="19">
        <f>$B$21-$B$19</f>
        <v>1024</v>
      </c>
      <c r="C45" s="2"/>
      <c r="D45" s="2"/>
      <c r="E45" s="2" t="s">
        <v>28</v>
      </c>
      <c r="F45" s="2" t="s">
        <v>63</v>
      </c>
    </row>
    <row r="46" spans="1:6" ht="12.75">
      <c r="A46" s="9" t="s">
        <v>76</v>
      </c>
      <c r="B46" s="19">
        <f>$B$18-$B$16</f>
        <v>24</v>
      </c>
      <c r="C46" s="2"/>
      <c r="D46" s="2"/>
      <c r="E46" s="2" t="s">
        <v>28</v>
      </c>
      <c r="F46" s="2" t="s">
        <v>64</v>
      </c>
    </row>
    <row r="47" spans="1:6" ht="12.75">
      <c r="A47" s="6" t="s">
        <v>102</v>
      </c>
      <c r="B47" s="18">
        <f>2.7*$B$43</f>
        <v>11.567610363238252</v>
      </c>
      <c r="E47" s="6" t="s">
        <v>100</v>
      </c>
      <c r="F47" s="6" t="s">
        <v>101</v>
      </c>
    </row>
    <row r="48" spans="1:6" ht="12.75">
      <c r="A48" s="6" t="s">
        <v>103</v>
      </c>
      <c r="B48" s="18">
        <f>2*$B$44</f>
        <v>686.6506801236836</v>
      </c>
      <c r="E48" s="6" t="s">
        <v>100</v>
      </c>
      <c r="F48" s="6" t="s">
        <v>104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Klippel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Wolfgang</cp:lastModifiedBy>
  <cp:lastPrinted>2003-01-22T10:03:50Z</cp:lastPrinted>
  <dcterms:created xsi:type="dcterms:W3CDTF">2002-09-13T06:24:48Z</dcterms:created>
  <dcterms:modified xsi:type="dcterms:W3CDTF">2003-04-26T10:35:17Z</dcterms:modified>
  <cp:category/>
  <cp:version/>
  <cp:contentType/>
  <cp:contentStatus/>
</cp:coreProperties>
</file>